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-GOIÁS\CIDADÃO CONSCIENTE\"/>
    </mc:Choice>
  </mc:AlternateContent>
  <xr:revisionPtr revIDLastSave="0" documentId="13_ncr:1_{87A0A306-8CA2-41AE-8683-E866F63DD56A}" xr6:coauthVersionLast="47" xr6:coauthVersionMax="47" xr10:uidLastSave="{00000000-0000-0000-0000-000000000000}"/>
  <bookViews>
    <workbookView xWindow="-120" yWindow="-120" windowWidth="20730" windowHeight="1116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5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GO!$B$2:$V$30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35" l="1"/>
  <c r="N4" i="47"/>
  <c r="L4" i="47"/>
  <c r="O4" i="47" s="1"/>
  <c r="N3" i="47"/>
  <c r="L3" i="47"/>
  <c r="O3" i="47" s="1"/>
  <c r="O5" i="47" s="1"/>
  <c r="H3" i="47"/>
  <c r="L39" i="35"/>
  <c r="J41" i="35"/>
  <c r="N39" i="35"/>
  <c r="F39" i="35"/>
  <c r="E39" i="35"/>
  <c r="D39" i="35"/>
  <c r="L5" i="47" l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8" i="35" l="1"/>
  <c r="T25" i="35"/>
  <c r="T24" i="35"/>
  <c r="T23" i="35"/>
  <c r="T21" i="35"/>
  <c r="T20" i="35"/>
  <c r="T19" i="35"/>
  <c r="T17" i="35"/>
  <c r="T15" i="35"/>
  <c r="T14" i="35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35" l="1"/>
  <c r="R25" i="35"/>
  <c r="S23" i="35"/>
  <c r="L23" i="35" s="1"/>
  <c r="S20" i="35"/>
  <c r="L20" i="35" s="1"/>
  <c r="S17" i="35"/>
  <c r="L17" i="35" s="1"/>
  <c r="S14" i="35"/>
  <c r="F25" i="35"/>
  <c r="R23" i="35"/>
  <c r="R20" i="35"/>
  <c r="R17" i="35"/>
  <c r="R14" i="35"/>
  <c r="E25" i="35"/>
  <c r="F23" i="35"/>
  <c r="F20" i="35"/>
  <c r="F17" i="35"/>
  <c r="D25" i="35"/>
  <c r="E23" i="35"/>
  <c r="E20" i="35"/>
  <c r="E17" i="35"/>
  <c r="F14" i="35"/>
  <c r="D23" i="35"/>
  <c r="D20" i="35"/>
  <c r="D17" i="35"/>
  <c r="E14" i="35"/>
  <c r="S24" i="35"/>
  <c r="L24" i="35" s="1"/>
  <c r="D14" i="35"/>
  <c r="R24" i="35"/>
  <c r="S21" i="35"/>
  <c r="L21" i="35" s="1"/>
  <c r="S19" i="35"/>
  <c r="L19" i="35" s="1"/>
  <c r="S15" i="35"/>
  <c r="L15" i="35" s="1"/>
  <c r="F24" i="35"/>
  <c r="F21" i="35"/>
  <c r="F19" i="35"/>
  <c r="F15" i="35"/>
  <c r="S25" i="35"/>
  <c r="L25" i="35" s="1"/>
  <c r="R19" i="35"/>
  <c r="E15" i="35"/>
  <c r="E19" i="35"/>
  <c r="R21" i="35"/>
  <c r="D19" i="35"/>
  <c r="E24" i="35"/>
  <c r="D15" i="35"/>
  <c r="D24" i="35"/>
  <c r="R15" i="35"/>
  <c r="D21" i="35"/>
  <c r="E21" i="35"/>
  <c r="I3" i="22"/>
  <c r="G3" i="22"/>
  <c r="G41" i="22"/>
  <c r="I41" i="22"/>
  <c r="M14" i="35" l="1"/>
  <c r="O14" i="35"/>
  <c r="P14" i="35" s="1"/>
  <c r="O23" i="35"/>
  <c r="P23" i="35" s="1"/>
  <c r="M23" i="35"/>
  <c r="M15" i="35"/>
  <c r="O15" i="35"/>
  <c r="M19" i="35"/>
  <c r="O19" i="35"/>
  <c r="P19" i="35" s="1"/>
  <c r="O21" i="35"/>
  <c r="P21" i="35" s="1"/>
  <c r="M21" i="35"/>
  <c r="O25" i="35"/>
  <c r="P25" i="35" s="1"/>
  <c r="M25" i="35"/>
  <c r="M24" i="35"/>
  <c r="O24" i="35"/>
  <c r="P24" i="35" s="1"/>
  <c r="O17" i="35"/>
  <c r="P17" i="35" s="1"/>
  <c r="V17" i="35" s="1"/>
  <c r="V28" i="35" s="1"/>
  <c r="M17" i="35"/>
  <c r="O20" i="35"/>
  <c r="P20" i="35" s="1"/>
  <c r="M20" i="35"/>
  <c r="P15" i="35" l="1"/>
  <c r="P41" i="35"/>
  <c r="P28" i="35"/>
  <c r="M28" i="35"/>
  <c r="P43" i="35" l="1"/>
</calcChain>
</file>

<file path=xl/sharedStrings.xml><?xml version="1.0" encoding="utf-8"?>
<sst xmlns="http://schemas.openxmlformats.org/spreadsheetml/2006/main" count="534" uniqueCount="206">
  <si>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</si>
  <si>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</si>
  <si>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</si>
  <si>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</si>
  <si>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</si>
  <si>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</si>
  <si>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</si>
  <si>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</si>
  <si>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</si>
  <si>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</si>
  <si>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</si>
  <si>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</si>
  <si>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</si>
  <si>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</si>
  <si>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</si>
  <si>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</si>
  <si>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</si>
  <si>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</si>
  <si>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</si>
  <si>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</si>
  <si>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</si>
  <si>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</si>
  <si>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</si>
  <si>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</si>
  <si>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</si>
  <si>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</si>
  <si>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</si>
  <si>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</si>
  <si>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</si>
  <si>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</si>
  <si>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</si>
  <si>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</si>
  <si>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</si>
  <si>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</si>
  <si>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</si>
  <si>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</si>
  <si>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</si>
  <si>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</si>
  <si>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</si>
  <si>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</si>
  <si>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</si>
  <si>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</si>
  <si>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</si>
  <si>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</si>
  <si>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</si>
  <si>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</si>
  <si>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</si>
  <si>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</si>
  <si>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</si>
  <si>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</si>
  <si>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</si>
  <si>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</si>
  <si>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</si>
  <si>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</si>
  <si>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</si>
  <si>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</si>
  <si>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</si>
  <si>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</si>
  <si>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</si>
  <si>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</si>
  <si>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</si>
  <si>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</si>
  <si>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</si>
  <si>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</si>
  <si>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</si>
  <si>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</si>
  <si>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</si>
  <si>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</si>
  <si>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</si>
  <si>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</si>
  <si>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</si>
  <si>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</si>
  <si>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</si>
  <si>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</si>
  <si>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</si>
  <si>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</si>
  <si>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</si>
  <si>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</si>
  <si>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</si>
  <si>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</si>
  <si>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</si>
  <si>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</si>
  <si>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</si>
  <si>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</si>
  <si>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</si>
  <si>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</si>
  <si>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</si>
  <si>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</si>
  <si>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</si>
  <si>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</si>
  <si>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</si>
  <si>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</si>
  <si>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</si>
  <si>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</si>
  <si>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</si>
  <si>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</si>
  <si>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</si>
  <si>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</si>
  <si>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</si>
  <si>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</si>
  <si>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</si>
  <si>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</si>
  <si>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</si>
  <si>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</si>
  <si>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</si>
  <si>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</si>
  <si>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</si>
  <si>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</si>
  <si>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</si>
  <si>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</si>
  <si>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</si>
  <si>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</si>
  <si>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</si>
  <si>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</si>
  <si>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</si>
  <si>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</si>
  <si>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</si>
  <si>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</si>
  <si>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</si>
  <si>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</si>
  <si>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</si>
  <si>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</si>
  <si>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</si>
  <si>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</si>
  <si>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</si>
  <si>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</si>
  <si>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</si>
  <si>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</si>
  <si>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</si>
  <si>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</si>
  <si>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</si>
  <si>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</si>
  <si>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</si>
  <si>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</si>
  <si>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</si>
  <si>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</si>
  <si>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</si>
  <si>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</si>
  <si>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</si>
  <si>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</si>
  <si>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</si>
  <si>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</si>
  <si>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</si>
  <si>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</si>
  <si>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</si>
  <si>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</si>
  <si>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</si>
  <si>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</si>
  <si>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</si>
  <si>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</si>
  <si>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</si>
  <si>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</si>
  <si>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</si>
  <si>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</si>
  <si>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</si>
  <si>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</si>
  <si>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</si>
  <si>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</si>
  <si>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</si>
  <si>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</si>
  <si>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</si>
  <si>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</si>
  <si>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-</t>
  </si>
  <si>
    <t>CIDADÃO CONSCIENTE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</si>
  <si>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</si>
  <si>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</si>
  <si>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</si>
  <si>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</si>
  <si>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</si>
  <si>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</si>
  <si>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</si>
  <si>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</si>
  <si>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</si>
  <si>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</si>
  <si>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</si>
  <si>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</si>
  <si>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ABRIL</t>
  </si>
  <si>
    <t>REEXIBIÇÃO RECORD PLUS</t>
  </si>
  <si>
    <t>RECORD PLUS</t>
  </si>
  <si>
    <t>TOTAL INVESTIMENTO RECORD PLUS</t>
  </si>
  <si>
    <t>VALOR PROJETO + RECORD PLUS + DAC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</si>
  <si>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</si>
  <si>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</si>
  <si>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</si>
  <si>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</si>
  <si>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</si>
  <si>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</si>
  <si>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</si>
  <si>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</si>
  <si>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</si>
  <si>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</si>
  <si>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</si>
  <si>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</si>
  <si>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</si>
  <si>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Publieditorial + Pacote de divulgação</t>
  </si>
  <si>
    <t>Site R7 Goias + Redes sociais</t>
  </si>
  <si>
    <r>
      <t xml:space="preserve">Produção de texto + Mídia envelopando o conteúdo  + Pacote de Divulgação </t>
    </r>
    <r>
      <rPr>
        <sz val="10"/>
        <color indexed="8"/>
        <rFont val="Calibri"/>
        <family val="2"/>
      </rPr>
      <t xml:space="preserve">(Posts de divulgação do conteúdo nas redes) </t>
    </r>
  </si>
  <si>
    <t>Unidade</t>
  </si>
  <si>
    <t>N/A</t>
  </si>
  <si>
    <t>Impactos</t>
  </si>
  <si>
    <t>Vídeo VOD PlayPlus</t>
  </si>
  <si>
    <t>PlayPlus</t>
  </si>
  <si>
    <t>ROS</t>
  </si>
  <si>
    <r>
      <t>Formatos:</t>
    </r>
    <r>
      <rPr>
        <sz val="10"/>
        <color indexed="8"/>
        <rFont val="Calibri"/>
        <family val="2"/>
      </rPr>
      <t xml:space="preserve"> 768x432 | 480x360 | 16:9</t>
    </r>
    <r>
      <rPr>
        <b/>
        <sz val="10"/>
        <color rgb="FF000000"/>
        <rFont val="Calibri"/>
        <family val="2"/>
      </rPr>
      <t xml:space="preserve">
Tempo máximo é de 30 segundos, com skip obrigatório de 6’</t>
    </r>
  </si>
  <si>
    <t>Mês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</si>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</sst>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_-[$R$-416]\ * #,##0_-;\-[$R$-416]\ * #,##0_-;_-[$R$-416]\ * &quot;-&quot;??_-;_-@_-"/>
    <numFmt numFmtId="171" formatCode="&quot;R$&quot;\ 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2" fontId="3" fillId="8" borderId="29" xfId="1" applyNumberFormat="1" applyFont="1" applyFill="1" applyBorder="1" applyAlignment="1">
      <alignment horizontal="center" vertical="center"/>
    </xf>
    <xf numFmtId="0" fontId="0" fillId="0" borderId="49" xfId="0" applyBorder="1"/>
    <xf numFmtId="0" fontId="0" fillId="0" borderId="44" xfId="0" applyBorder="1"/>
    <xf numFmtId="0" fontId="0" fillId="0" borderId="24" xfId="0" applyBorder="1"/>
    <xf numFmtId="0" fontId="0" fillId="0" borderId="35" xfId="0" applyBorder="1"/>
    <xf numFmtId="0" fontId="0" fillId="0" borderId="25" xfId="0" applyBorder="1"/>
    <xf numFmtId="2" fontId="7" fillId="13" borderId="25" xfId="1" applyNumberFormat="1" applyFont="1" applyFill="1" applyBorder="1" applyAlignment="1">
      <alignment horizontal="center" vertical="center"/>
    </xf>
    <xf numFmtId="0" fontId="33" fillId="14" borderId="53" xfId="49" applyFont="1" applyFill="1" applyBorder="1" applyAlignment="1">
      <alignment horizontal="center" vertical="center"/>
    </xf>
    <xf numFmtId="0" fontId="33" fillId="14" borderId="54" xfId="49" applyFont="1" applyFill="1" applyBorder="1" applyAlignment="1">
      <alignment horizontal="center" vertical="center" wrapText="1"/>
    </xf>
    <xf numFmtId="0" fontId="33" fillId="14" borderId="54" xfId="49" applyFont="1" applyFill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168" fontId="33" fillId="14" borderId="55" xfId="49" applyNumberFormat="1" applyFont="1" applyFill="1" applyBorder="1" applyAlignment="1">
      <alignment horizontal="center" vertical="center" wrapText="1"/>
    </xf>
    <xf numFmtId="169" fontId="33" fillId="14" borderId="55" xfId="49" applyNumberFormat="1" applyFont="1" applyFill="1" applyBorder="1" applyAlignment="1">
      <alignment horizontal="center" vertical="center" wrapText="1"/>
    </xf>
    <xf numFmtId="168" fontId="33" fillId="14" borderId="55" xfId="53" applyNumberFormat="1" applyFont="1" applyFill="1" applyBorder="1" applyAlignment="1">
      <alignment horizontal="center" vertical="center" wrapText="1"/>
    </xf>
    <xf numFmtId="168" fontId="33" fillId="14" borderId="56" xfId="49" applyNumberFormat="1" applyFont="1" applyFill="1" applyBorder="1" applyAlignment="1">
      <alignment horizontal="center" vertical="center" wrapText="1"/>
    </xf>
    <xf numFmtId="0" fontId="34" fillId="15" borderId="57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9" fontId="37" fillId="16" borderId="16" xfId="43" applyFont="1" applyFill="1" applyBorder="1" applyAlignment="1">
      <alignment horizontal="center" vertical="center"/>
    </xf>
    <xf numFmtId="168" fontId="35" fillId="15" borderId="16" xfId="32" applyNumberFormat="1" applyFont="1" applyFill="1" applyBorder="1" applyAlignment="1">
      <alignment horizontal="center" vertical="center" wrapText="1"/>
    </xf>
    <xf numFmtId="0" fontId="35" fillId="17" borderId="16" xfId="0" applyFont="1" applyFill="1" applyBorder="1" applyAlignment="1">
      <alignment horizontal="center" vertical="center" wrapText="1"/>
    </xf>
    <xf numFmtId="0" fontId="34" fillId="17" borderId="16" xfId="0" applyFont="1" applyFill="1" applyBorder="1" applyAlignment="1">
      <alignment horizontal="center" vertical="center" wrapText="1"/>
    </xf>
    <xf numFmtId="3" fontId="35" fillId="17" borderId="16" xfId="34" applyNumberFormat="1" applyFont="1" applyFill="1" applyBorder="1" applyAlignment="1" applyProtection="1">
      <alignment horizontal="center" vertical="center" wrapText="1"/>
    </xf>
    <xf numFmtId="168" fontId="35" fillId="17" borderId="16" xfId="32" applyNumberFormat="1" applyFont="1" applyFill="1" applyBorder="1" applyAlignment="1">
      <alignment horizontal="center" vertical="center"/>
    </xf>
    <xf numFmtId="168" fontId="35" fillId="17" borderId="16" xfId="32" applyNumberFormat="1" applyFont="1" applyFill="1" applyBorder="1" applyAlignment="1">
      <alignment horizontal="center" vertical="center" wrapText="1"/>
    </xf>
    <xf numFmtId="170" fontId="31" fillId="0" borderId="16" xfId="0" applyNumberFormat="1" applyFont="1" applyBorder="1" applyAlignment="1">
      <alignment vertical="center"/>
    </xf>
    <xf numFmtId="171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166" fontId="3" fillId="7" borderId="24" xfId="1" applyNumberFormat="1" applyFont="1" applyFill="1" applyBorder="1" applyAlignment="1">
      <alignment horizontal="center" vertical="center"/>
    </xf>
    <xf numFmtId="166" fontId="3" fillId="7" borderId="25" xfId="1" applyNumberFormat="1" applyFont="1" applyFill="1" applyBorder="1" applyAlignment="1">
      <alignment horizontal="center" vertical="center"/>
    </xf>
    <xf numFmtId="166" fontId="3" fillId="7" borderId="35" xfId="1" applyNumberFormat="1" applyFont="1" applyFill="1" applyBorder="1" applyAlignment="1">
      <alignment horizontal="center" vertical="center"/>
    </xf>
    <xf numFmtId="0" fontId="7" fillId="11" borderId="17" xfId="2" applyFont="1" applyFill="1" applyBorder="1" applyAlignment="1">
      <alignment horizontal="center" vertical="center" wrapText="1"/>
    </xf>
    <xf numFmtId="0" fontId="7" fillId="11" borderId="48" xfId="2" applyFont="1" applyFill="1" applyBorder="1" applyAlignment="1">
      <alignment horizontal="center" vertical="center" wrapText="1"/>
    </xf>
    <xf numFmtId="0" fontId="7" fillId="11" borderId="26" xfId="2" applyFont="1" applyFill="1" applyBorder="1" applyAlignment="1">
      <alignment horizontal="center" vertical="center" wrapText="1"/>
    </xf>
    <xf numFmtId="0" fontId="7" fillId="11" borderId="40" xfId="2" applyFont="1" applyFill="1" applyBorder="1" applyAlignment="1">
      <alignment horizontal="center" vertical="center" wrapText="1"/>
    </xf>
    <xf numFmtId="0" fontId="7" fillId="11" borderId="43" xfId="2" applyFont="1" applyFill="1" applyBorder="1" applyAlignment="1">
      <alignment horizontal="center" vertical="center" wrapText="1"/>
    </xf>
    <xf numFmtId="0" fontId="7" fillId="11" borderId="39" xfId="2" applyFont="1" applyFill="1" applyBorder="1" applyAlignment="1">
      <alignment horizontal="center" vertical="center" wrapText="1"/>
    </xf>
    <xf numFmtId="166" fontId="7" fillId="11" borderId="24" xfId="2" applyNumberFormat="1" applyFont="1" applyFill="1" applyBorder="1" applyAlignment="1">
      <alignment horizontal="center" vertical="center" wrapText="1"/>
    </xf>
    <xf numFmtId="166" fontId="7" fillId="11" borderId="25" xfId="2" applyNumberFormat="1" applyFont="1" applyFill="1" applyBorder="1" applyAlignment="1">
      <alignment horizontal="center" vertical="center" wrapText="1"/>
    </xf>
    <xf numFmtId="166" fontId="7" fillId="11" borderId="35" xfId="2" applyNumberFormat="1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4" fontId="33" fillId="14" borderId="54" xfId="49" applyNumberFormat="1" applyFont="1" applyFill="1" applyBorder="1" applyAlignment="1">
      <alignment horizontal="center" vertical="center" wrapText="1"/>
    </xf>
    <xf numFmtId="4" fontId="33" fillId="14" borderId="55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570F6A-885F-49F6-801A-D907D3FA2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168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169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171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175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164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165</v>
      </c>
      <c r="P14" s="61" t="s">
        <v>164</v>
      </c>
      <c r="Q14" s="55" t="s">
        <v>166</v>
      </c>
      <c r="R14" s="55" t="s">
        <v>92</v>
      </c>
      <c r="S14" s="55" t="s">
        <v>167</v>
      </c>
      <c r="T14" s="55" t="s">
        <v>168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169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164</v>
      </c>
      <c r="R24" s="55" t="s">
        <v>48</v>
      </c>
      <c r="S24" s="55" t="s">
        <v>170</v>
      </c>
      <c r="T24" s="55" t="s">
        <v>171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172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173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164</v>
      </c>
      <c r="R32" s="55" t="s">
        <v>48</v>
      </c>
      <c r="S32" s="55" t="s">
        <v>141</v>
      </c>
      <c r="T32" s="55" t="s">
        <v>174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172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77" t="s">
        <v>161</v>
      </c>
      <c r="Z35" s="178"/>
      <c r="AA35" s="178"/>
      <c r="AB35" s="178"/>
      <c r="AC35" s="178"/>
      <c r="AD35" s="178"/>
      <c r="AE35" s="178"/>
      <c r="AF35" s="178"/>
      <c r="AG35" s="178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74" t="s">
        <v>150</v>
      </c>
      <c r="C43" s="175"/>
      <c r="D43" s="176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E09E-72F2-49CB-8137-E859E714D3EE}">
  <sheetPr>
    <pageSetUpPr fitToPage="1"/>
  </sheetPr>
  <dimension ref="B1:X43"/>
  <sheetViews>
    <sheetView showGridLines="0" tabSelected="1" zoomScale="50" zoomScaleNormal="50" zoomScaleSheetLayoutView="50" workbookViewId="0">
      <selection activeCell="C9" sqref="C9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83" t="s">
        <v>163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5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2" t="s">
        <v>162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6" t="s">
        <v>157</v>
      </c>
      <c r="D10" s="187"/>
      <c r="E10" s="187"/>
      <c r="F10" s="187"/>
      <c r="G10" s="187"/>
      <c r="H10" s="187"/>
      <c r="I10" s="187"/>
      <c r="J10" s="188"/>
      <c r="K10" s="2"/>
      <c r="L10" s="189" t="s">
        <v>0</v>
      </c>
      <c r="M10" s="189"/>
      <c r="N10" s="189"/>
      <c r="O10" s="189"/>
      <c r="P10" s="189"/>
      <c r="Q10" s="2"/>
      <c r="R10" s="2"/>
      <c r="S10" s="2"/>
      <c r="T10" s="2"/>
      <c r="U10" s="2"/>
      <c r="V10" s="140" t="s">
        <v>17</v>
      </c>
    </row>
    <row r="11" spans="2:24" ht="27" customHeight="1" x14ac:dyDescent="0.25">
      <c r="C11" s="179" t="s">
        <v>33</v>
      </c>
      <c r="D11" s="179" t="s">
        <v>1</v>
      </c>
      <c r="E11" s="179" t="s">
        <v>2</v>
      </c>
      <c r="F11" s="179"/>
      <c r="G11" s="179" t="s">
        <v>20</v>
      </c>
      <c r="H11" s="179" t="s">
        <v>22</v>
      </c>
      <c r="I11" s="179" t="s">
        <v>19</v>
      </c>
      <c r="J11" s="179" t="s">
        <v>3</v>
      </c>
      <c r="K11" s="3"/>
      <c r="L11" s="192" t="s">
        <v>10</v>
      </c>
      <c r="M11" s="192"/>
      <c r="N11" s="193" t="s">
        <v>4</v>
      </c>
      <c r="O11" s="179" t="s">
        <v>11</v>
      </c>
      <c r="P11" s="179"/>
      <c r="Q11" s="3"/>
      <c r="R11" s="180" t="s">
        <v>18</v>
      </c>
      <c r="S11" s="180"/>
      <c r="T11" s="180"/>
      <c r="U11" s="3"/>
      <c r="V11" s="181" t="s">
        <v>25</v>
      </c>
    </row>
    <row r="12" spans="2:24" ht="27" customHeight="1" x14ac:dyDescent="0.25">
      <c r="C12" s="179"/>
      <c r="D12" s="179"/>
      <c r="E12" s="179"/>
      <c r="F12" s="179"/>
      <c r="G12" s="179"/>
      <c r="H12" s="179"/>
      <c r="I12" s="179"/>
      <c r="J12" s="179"/>
      <c r="K12" s="3"/>
      <c r="L12" s="192"/>
      <c r="M12" s="192"/>
      <c r="N12" s="193"/>
      <c r="O12" s="179"/>
      <c r="P12" s="179"/>
      <c r="Q12" s="3"/>
      <c r="R12" s="180"/>
      <c r="S12" s="180"/>
      <c r="T12" s="180"/>
      <c r="U12" s="3"/>
      <c r="V12" s="181"/>
    </row>
    <row r="13" spans="2:24" ht="33.75" customHeight="1" x14ac:dyDescent="0.25">
      <c r="C13" s="179"/>
      <c r="D13" s="179"/>
      <c r="E13" s="122" t="s">
        <v>5</v>
      </c>
      <c r="F13" s="122" t="s">
        <v>6</v>
      </c>
      <c r="G13" s="179"/>
      <c r="H13" s="179"/>
      <c r="I13" s="179"/>
      <c r="J13" s="179"/>
      <c r="K13" s="3"/>
      <c r="L13" s="123" t="s">
        <v>8</v>
      </c>
      <c r="M13" s="123" t="s">
        <v>9</v>
      </c>
      <c r="N13" s="193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25">
      <c r="B14" s="182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162</v>
      </c>
      <c r="H14" s="93" t="s">
        <v>155</v>
      </c>
      <c r="I14" s="94">
        <v>5</v>
      </c>
      <c r="J14" s="95">
        <v>40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:M15" si="0">L14*$J14</f>
        <v>114256.50000000001</v>
      </c>
      <c r="N14" s="119"/>
      <c r="O14" s="120">
        <f t="shared" ref="O14:O15" si="1">L14-L14*N14</f>
        <v>2856.4125000000004</v>
      </c>
      <c r="P14" s="121">
        <f t="shared" ref="P14:P15" si="2">O14*$J14</f>
        <v>114256.50000000001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29.25" customHeight="1" x14ac:dyDescent="0.25">
      <c r="B15" s="182"/>
      <c r="C15" s="92" t="s">
        <v>56</v>
      </c>
      <c r="D15" s="89" t="str">
        <f>IF(ISERROR(VLOOKUP(C15,'GRADE OUT 25'!$B:$G,5,0)),"",VLOOKUP(C15,'GRADE OUT 25'!$B:$G,5,0))</f>
        <v>BALANÇO GERAL GO</v>
      </c>
      <c r="E15" s="101" t="str">
        <f>IF(ISERROR(VLOOKUP(C15,'GRADE OUT 25'!$B:$G,2,0)),"",VLOOKUP(C15,'GRADE OUT 25'!$B:$G,2,0))</f>
        <v>SEG/SEX</v>
      </c>
      <c r="F15" s="88" t="str">
        <f>IF(ISERROR(VLOOKUP(C15,'GRADE OUT 25'!$B:$G,3,0)),"",VLOOKUP(C15,'GRADE OUT 25'!$B:$G,3,0))</f>
        <v>11H30</v>
      </c>
      <c r="G15" s="143" t="s">
        <v>162</v>
      </c>
      <c r="H15" s="93" t="s">
        <v>155</v>
      </c>
      <c r="I15" s="94">
        <v>5</v>
      </c>
      <c r="J15" s="144">
        <v>4.33</v>
      </c>
      <c r="K15" s="4"/>
      <c r="L15" s="103">
        <f>IF(C15="ROT",VLOOKUP(I15,'GRADE OUT 25'!$C$46:$D$62,2,0),(IF(H15="MERCHANDISING",SUMIFS('GRADE OUT 25'!$AD$4:$AD$33,'GRADE OUT 25'!$Y$4:$Y$33,C15,'GRADE OUT 25'!$AE$4:$AE$33,I15),(IF(H15="INSERT",SUMIFS('GRADE OUT 25'!$AF$36:$AF$41,'GRADE OUT 25'!$Y$36:$Y$41,C15,'GRADE OUT 25'!$AE$36:$AE$41,I15),S15*T15)))))</f>
        <v>3100.125</v>
      </c>
      <c r="M15" s="104">
        <f t="shared" si="0"/>
        <v>13423.54125</v>
      </c>
      <c r="N15" s="99"/>
      <c r="O15" s="107">
        <f t="shared" si="1"/>
        <v>3100.125</v>
      </c>
      <c r="P15" s="108">
        <f t="shared" si="2"/>
        <v>13423.54125</v>
      </c>
      <c r="Q15" s="4"/>
      <c r="R15" s="111" t="str">
        <f>IF(ISERROR(VLOOKUP(C15,'GRADE OUT 25'!$B:$G,5,0)),"",VLOOKUP(C15,'GRADE OUT 25'!$B:$G,5,0))</f>
        <v>BALANÇO GERAL GO</v>
      </c>
      <c r="S15" s="112">
        <f>IF(ISERROR(VLOOKUP(C15,'GRADE OUT 25'!$B:$H,7,0)),0,VLOOKUP(C15,'GRADE OUT 25'!$B:$H,7,0))</f>
        <v>8267</v>
      </c>
      <c r="T15" s="113">
        <f>IF(H15="INSERT",0.8,IF(ISERROR(IF(I15=180,6,IF(I15=150,5,IF(I15=120,4,IF(I15=90,3,IF(I15=60,2,IF(I15=45,1.5,IF(I15=30,1,IF(I15=10,0.4,IF(I15=7.5,0.4,IF(I15=7,0.4,IF(I15=5,0.375,IF(I15=15,VLOOKUP(C15,'GRADE OUT 25'!$B:$L,11,0),"0"))))))))))))),0,IF(I15=180,6,IF(I15=150,5,IF(I15=120,4,IF(I15=90,3,IF(I15=60,2,IF(I15=45,1.5,IF(I15=30,1,IF(I15=10,0.4,IF(I15=7.5,0.4,IF(I15=7,0.4,IF(I15=5,0.375,IF(I15=15,VLOOKUP(C15,'GRADE OUT 25'!$B:$L,11,0),"0"))))))))))))))</f>
        <v>0.375</v>
      </c>
      <c r="U15" s="4"/>
    </row>
    <row r="16" spans="2:24" ht="15.75" customHeight="1" x14ac:dyDescent="0.5">
      <c r="B16" s="29"/>
    </row>
    <row r="17" spans="2:22" ht="29.25" customHeight="1" x14ac:dyDescent="0.25">
      <c r="B17" s="128" t="s">
        <v>28</v>
      </c>
      <c r="C17" s="92" t="s">
        <v>56</v>
      </c>
      <c r="D17" s="89" t="str">
        <f>IF(ISERROR(VLOOKUP(C17,'GRADE OUT 25'!$B:$G,5,0)),"",VLOOKUP(C17,'GRADE OUT 25'!$B:$G,5,0))</f>
        <v>BALANÇO GERAL GO</v>
      </c>
      <c r="E17" s="101" t="str">
        <f>IF(ISERROR(VLOOKUP(C17,'GRADE OUT 25'!$B:$G,2,0)),"",VLOOKUP(C17,'GRADE OUT 25'!$B:$G,2,0))</f>
        <v>SEG/SEX</v>
      </c>
      <c r="F17" s="88" t="str">
        <f>IF(ISERROR(VLOOKUP(C17,'GRADE OUT 25'!$B:$G,3,0)),"",VLOOKUP(C17,'GRADE OUT 25'!$B:$G,3,0))</f>
        <v>11H30</v>
      </c>
      <c r="G17" s="93" t="s">
        <v>162</v>
      </c>
      <c r="H17" s="93" t="s">
        <v>28</v>
      </c>
      <c r="I17" s="94">
        <v>60</v>
      </c>
      <c r="J17" s="144">
        <v>4.33</v>
      </c>
      <c r="K17" s="4"/>
      <c r="L17" s="117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18360</v>
      </c>
      <c r="M17" s="118">
        <f t="shared" ref="M17" si="3">L17*$J17</f>
        <v>79498.8</v>
      </c>
      <c r="N17" s="119"/>
      <c r="O17" s="120">
        <f t="shared" ref="O17" si="4">L17-L17*N17</f>
        <v>18360</v>
      </c>
      <c r="P17" s="121">
        <f t="shared" ref="P17" si="5">O17*$J17</f>
        <v>79498.8</v>
      </c>
      <c r="Q17" s="4"/>
      <c r="R17" s="111" t="str">
        <f>IF(ISERROR(VLOOKUP(C17,'GRADE OUT 25'!$B:$G,5,0)),"",VLOOKUP(C17,'GRADE OUT 25'!$B:$G,5,0))</f>
        <v>BALANÇO GERAL GO</v>
      </c>
      <c r="S17" s="112">
        <f>IF(ISERROR(VLOOKUP(C17,'GRADE OUT 25'!$B:$H,7,0)),0,VLOOKUP(C17,'GRADE OUT 25'!$B:$H,7,0))</f>
        <v>8267</v>
      </c>
      <c r="T17" s="113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2</v>
      </c>
      <c r="U17" s="4"/>
      <c r="V17" s="125">
        <f t="shared" ref="V17" si="6">P17*20%</f>
        <v>15899.760000000002</v>
      </c>
    </row>
    <row r="18" spans="2:22" ht="15.75" customHeight="1" x14ac:dyDescent="0.5">
      <c r="B18" s="29"/>
    </row>
    <row r="19" spans="2:22" ht="29.25" hidden="1" customHeight="1" x14ac:dyDescent="0.25">
      <c r="B19" s="182" t="s">
        <v>29</v>
      </c>
      <c r="C19" s="92"/>
      <c r="D19" s="89" t="str">
        <f>IF(ISERROR(VLOOKUP(C19,'GRADE OUT 25'!$B:$G,5,0)),"",VLOOKUP(C19,'GRADE OUT 25'!$B:$G,5,0))</f>
        <v/>
      </c>
      <c r="E19" s="101" t="str">
        <f>IF(ISERROR(VLOOKUP(C19,'GRADE OUT 25'!$B:$G,2,0)),"",VLOOKUP(C19,'GRADE OUT 25'!$B:$G,2,0))</f>
        <v/>
      </c>
      <c r="F19" s="88" t="str">
        <f>IF(ISERROR(VLOOKUP(C19,'GRADE OUT 25'!$B:$G,3,0)),"",VLOOKUP(C19,'GRADE OUT 25'!$B:$G,3,0))</f>
        <v/>
      </c>
      <c r="G19" s="93"/>
      <c r="H19" s="93"/>
      <c r="I19" s="94"/>
      <c r="J19" s="95"/>
      <c r="K19" s="4"/>
      <c r="L19" s="117">
        <f>IF(C19="ROT",VLOOKUP(I19,'GRADE OUT 25'!$C$46:$D$62,2,0),(IF(H19="MERCHANDISING",SUMIFS('GRADE OUT 25'!$AD$4:$AD$33,'GRADE OUT 25'!$Y$4:$Y$33,C19,'GRADE OUT 25'!$AE$4:$AE$33,I19),(IF(H19="INSERT",SUMIFS('GRADE OUT 25'!$AF$36:$AF$41,'GRADE OUT 25'!$Y$36:$Y$41,C19,'GRADE OUT 25'!$AE$36:$AE$41,I19),S19*T19)))))</f>
        <v>0</v>
      </c>
      <c r="M19" s="118">
        <f t="shared" ref="M19:M21" si="7">L19*$J19</f>
        <v>0</v>
      </c>
      <c r="N19" s="119"/>
      <c r="O19" s="120">
        <f t="shared" ref="O19:O21" si="8">L19-L19*N19</f>
        <v>0</v>
      </c>
      <c r="P19" s="121">
        <f t="shared" ref="P19:P21" si="9">O19*$J19</f>
        <v>0</v>
      </c>
      <c r="Q19" s="4"/>
      <c r="R19" s="111" t="str">
        <f>IF(ISERROR(VLOOKUP(C19,'GRADE OUT 25'!$B:$G,5,0)),"",VLOOKUP(C19,'GRADE OUT 25'!$B:$G,5,0))</f>
        <v/>
      </c>
      <c r="S19" s="112">
        <f>IF(ISERROR(VLOOKUP(C19,'GRADE OUT 25'!$B:$H,7,0)),0,VLOOKUP(C19,'GRADE OUT 25'!$B:$H,7,0))</f>
        <v>0</v>
      </c>
      <c r="T19" s="113" t="str">
        <f>IF(H19="INSERT",0.8,IF(ISERROR(IF(I19=180,6,IF(I19=150,5,IF(I19=120,4,IF(I19=90,3,IF(I19=60,2,IF(I19=45,1.5,IF(I19=30,1,IF(I19=10,0.4,IF(I19=7.5,0.4,IF(I19=7,0.4,IF(I19=5,0.375,IF(I19=15,VLOOKUP(C19,'GRADE OUT 25'!$B:$L,11,0),"0"))))))))))))),0,IF(I19=180,6,IF(I19=150,5,IF(I19=120,4,IF(I19=90,3,IF(I19=60,2,IF(I19=45,1.5,IF(I19=30,1,IF(I19=10,0.4,IF(I19=7.5,0.4,IF(I19=7,0.4,IF(I19=5,0.375,IF(I19=15,VLOOKUP(C19,'GRADE OUT 25'!$B:$L,11,0),"0"))))))))))))))</f>
        <v>0</v>
      </c>
      <c r="U19" s="4"/>
    </row>
    <row r="20" spans="2:22" ht="29.25" hidden="1" customHeight="1" x14ac:dyDescent="0.25">
      <c r="B20" s="182"/>
      <c r="C20" s="92"/>
      <c r="D20" s="89" t="str">
        <f>IF(ISERROR(VLOOKUP(C20,'GRADE OUT 25'!$B:$G,5,0)),"",VLOOKUP(C20,'GRADE OUT 25'!$B:$G,5,0))</f>
        <v/>
      </c>
      <c r="E20" s="101" t="str">
        <f>IF(ISERROR(VLOOKUP(C20,'GRADE OUT 25'!$B:$G,2,0)),"",VLOOKUP(C20,'GRADE OUT 25'!$B:$G,2,0))</f>
        <v/>
      </c>
      <c r="F20" s="88" t="str">
        <f>IF(ISERROR(VLOOKUP(C20,'GRADE OUT 25'!$B:$G,3,0)),"",VLOOKUP(C20,'GRADE OUT 25'!$B:$G,3,0))</f>
        <v/>
      </c>
      <c r="G20" s="93"/>
      <c r="H20" s="93"/>
      <c r="I20" s="94"/>
      <c r="J20" s="95"/>
      <c r="K20" s="4"/>
      <c r="L20" s="103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04">
        <f t="shared" si="7"/>
        <v>0</v>
      </c>
      <c r="N20" s="99"/>
      <c r="O20" s="107">
        <f t="shared" si="8"/>
        <v>0</v>
      </c>
      <c r="P20" s="108">
        <f t="shared" si="9"/>
        <v>0</v>
      </c>
      <c r="Q20" s="4"/>
      <c r="R20" s="111" t="str">
        <f>IF(ISERROR(VLOOKUP(C20,'GRADE OUT 25'!$B:$G,5,0)),"",VLOOKUP(C20,'GRADE OUT 25'!$B:$G,5,0))</f>
        <v/>
      </c>
      <c r="S20" s="112">
        <f>IF(ISERROR(VLOOKUP(C20,'GRADE OUT 25'!$B:$H,7,0)),0,VLOOKUP(C20,'GRADE OUT 25'!$B:$H,7,0))</f>
        <v>0</v>
      </c>
      <c r="T20" s="113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29.25" hidden="1" customHeight="1" x14ac:dyDescent="0.25">
      <c r="B21" s="182"/>
      <c r="C21" s="92"/>
      <c r="D21" s="89" t="str">
        <f>IF(ISERROR(VLOOKUP(C21,'GRADE OUT 25'!$B:$G,5,0)),"",VLOOKUP(C21,'GRADE OUT 25'!$B:$G,5,0))</f>
        <v/>
      </c>
      <c r="E21" s="102" t="str">
        <f>IF(ISERROR(VLOOKUP(C21,'GRADE OUT 25'!$B:$G,2,0)),"",VLOOKUP(C21,'GRADE OUT 25'!$B:$G,2,0))</f>
        <v/>
      </c>
      <c r="F21" s="90" t="str">
        <f>IF(ISERROR(VLOOKUP(C21,'GRADE OUT 25'!$B:$G,3,0)),"",VLOOKUP(C21,'GRADE OUT 25'!$B:$G,3,0))</f>
        <v/>
      </c>
      <c r="G21" s="96"/>
      <c r="H21" s="93"/>
      <c r="I21" s="97"/>
      <c r="J21" s="98"/>
      <c r="K21" s="4"/>
      <c r="L21" s="105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6">
        <f t="shared" si="7"/>
        <v>0</v>
      </c>
      <c r="N21" s="100"/>
      <c r="O21" s="109">
        <f t="shared" si="8"/>
        <v>0</v>
      </c>
      <c r="P21" s="110">
        <f t="shared" si="9"/>
        <v>0</v>
      </c>
      <c r="Q21" s="4"/>
      <c r="R21" s="114" t="str">
        <f>IF(ISERROR(VLOOKUP(C21,'GRADE OUT 25'!$B:$G,5,0)),"",VLOOKUP(C21,'GRADE OUT 25'!$B:$G,5,0))</f>
        <v/>
      </c>
      <c r="S21" s="115">
        <f>IF(ISERROR(VLOOKUP(C21,'GRADE OUT 25'!$B:$H,7,0)),0,VLOOKUP(C21,'GRADE OUT 25'!$B:$H,7,0))</f>
        <v>0</v>
      </c>
      <c r="T21" s="116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2:22" ht="15.75" hidden="1" customHeight="1" x14ac:dyDescent="0.5">
      <c r="B22" s="29"/>
    </row>
    <row r="23" spans="2:22" ht="29.25" hidden="1" customHeight="1" x14ac:dyDescent="0.25">
      <c r="B23" s="182" t="s">
        <v>30</v>
      </c>
      <c r="C23" s="92"/>
      <c r="D23" s="89" t="str">
        <f>IF(ISERROR(VLOOKUP(C23,'GRADE OUT 25'!$B:$G,5,0)),"",VLOOKUP(C23,'GRADE OUT 25'!$B:$G,5,0))</f>
        <v/>
      </c>
      <c r="E23" s="101" t="str">
        <f>IF(ISERROR(VLOOKUP(C23,'GRADE OUT 25'!$B:$G,2,0)),"",VLOOKUP(C23,'GRADE OUT 25'!$B:$G,2,0))</f>
        <v/>
      </c>
      <c r="F23" s="88" t="str">
        <f>IF(ISERROR(VLOOKUP(C23,'GRADE OUT 25'!$B:$G,3,0)),"",VLOOKUP(C23,'GRADE OUT 25'!$B:$G,3,0))</f>
        <v/>
      </c>
      <c r="G23" s="143"/>
      <c r="H23" s="93"/>
      <c r="I23" s="94"/>
      <c r="J23" s="95"/>
      <c r="K23" s="4"/>
      <c r="L23" s="117">
        <f>IF(C23="ROT",VLOOKUP(I23,'GRADE OUT 25'!$C$46:$D$62,2,0),(IF(H23="MERCHANDISING",SUMIFS('GRADE OUT 25'!$AD$4:$AD$33,'GRADE OUT 25'!$Y$4:$Y$33,C23,'GRADE OUT 25'!$AE$4:$AE$33,I23),(IF(H23="INSERT",SUMIFS('GRADE OUT 25'!$AF$36:$AF$41,'GRADE OUT 25'!$Y$36:$Y$41,C23,'GRADE OUT 25'!$AE$36:$AE$41,I23),S23*T23)))))</f>
        <v>0</v>
      </c>
      <c r="M23" s="118">
        <f t="shared" ref="M23:M25" si="10">L23*$J23</f>
        <v>0</v>
      </c>
      <c r="N23" s="119"/>
      <c r="O23" s="120">
        <f t="shared" ref="O23:O25" si="11">L23-L23*N23</f>
        <v>0</v>
      </c>
      <c r="P23" s="121">
        <f t="shared" ref="P23:P25" si="12">O23*$J23</f>
        <v>0</v>
      </c>
      <c r="Q23" s="4"/>
      <c r="R23" s="111" t="str">
        <f>IF(ISERROR(VLOOKUP(C23,'GRADE OUT 25'!$B:$G,5,0)),"",VLOOKUP(C23,'GRADE OUT 25'!$B:$G,5,0))</f>
        <v/>
      </c>
      <c r="S23" s="112">
        <f>IF(ISERROR(VLOOKUP(C23,'GRADE OUT 25'!$B:$H,7,0)),0,VLOOKUP(C23,'GRADE OUT 25'!$B:$H,7,0))</f>
        <v>0</v>
      </c>
      <c r="T23" s="113" t="str">
        <f>IF(H23="INSERT",0.8,IF(ISERROR(IF(I23=180,6,IF(I23=150,5,IF(I23=120,4,IF(I23=90,3,IF(I23=60,2,IF(I23=45,1.5,IF(I23=30,1,IF(I23=10,0.4,IF(I23=7.5,0.4,IF(I23=7,0.4,IF(I23=5,0.375,IF(I23=15,VLOOKUP(C23,'GRADE OUT 25'!$B:$L,11,0),"0"))))))))))))),0,IF(I23=180,6,IF(I23=150,5,IF(I23=120,4,IF(I23=90,3,IF(I23=60,2,IF(I23=45,1.5,IF(I23=30,1,IF(I23=10,0.4,IF(I23=7.5,0.4,IF(I23=7,0.4,IF(I23=5,0.375,IF(I23=15,VLOOKUP(C23,'GRADE OUT 25'!$B:$L,11,0),"0"))))))))))))))</f>
        <v>0</v>
      </c>
      <c r="U23" s="4"/>
    </row>
    <row r="24" spans="2:22" ht="29.25" hidden="1" customHeight="1" x14ac:dyDescent="0.25">
      <c r="B24" s="182"/>
      <c r="C24" s="92"/>
      <c r="D24" s="89" t="str">
        <f>IF(ISERROR(VLOOKUP(C24,'GRADE OUT 25'!$B:$G,5,0)),"",VLOOKUP(C24,'GRADE OUT 25'!$B:$G,5,0))</f>
        <v/>
      </c>
      <c r="E24" s="101" t="str">
        <f>IF(ISERROR(VLOOKUP(C24,'GRADE OUT 25'!$B:$G,2,0)),"",VLOOKUP(C24,'GRADE OUT 25'!$B:$G,2,0))</f>
        <v/>
      </c>
      <c r="F24" s="88" t="str">
        <f>IF(ISERROR(VLOOKUP(C24,'GRADE OUT 25'!$B:$G,3,0)),"",VLOOKUP(C24,'GRADE OUT 25'!$B:$G,3,0))</f>
        <v/>
      </c>
      <c r="G24" s="93"/>
      <c r="H24" s="93"/>
      <c r="I24" s="94"/>
      <c r="J24" s="95"/>
      <c r="K24" s="4"/>
      <c r="L24" s="103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0</v>
      </c>
      <c r="M24" s="104">
        <f t="shared" si="10"/>
        <v>0</v>
      </c>
      <c r="N24" s="99"/>
      <c r="O24" s="107">
        <f t="shared" si="11"/>
        <v>0</v>
      </c>
      <c r="P24" s="108">
        <f t="shared" si="12"/>
        <v>0</v>
      </c>
      <c r="Q24" s="4"/>
      <c r="R24" s="111" t="str">
        <f>IF(ISERROR(VLOOKUP(C24,'GRADE OUT 25'!$B:$G,5,0)),"",VLOOKUP(C24,'GRADE OUT 25'!$B:$G,5,0))</f>
        <v/>
      </c>
      <c r="S24" s="112">
        <f>IF(ISERROR(VLOOKUP(C24,'GRADE OUT 25'!$B:$H,7,0)),0,VLOOKUP(C24,'GRADE OUT 25'!$B:$H,7,0))</f>
        <v>0</v>
      </c>
      <c r="T24" s="113" t="str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0</v>
      </c>
      <c r="U24" s="4"/>
    </row>
    <row r="25" spans="2:22" ht="29.25" hidden="1" customHeight="1" x14ac:dyDescent="0.25">
      <c r="B25" s="182"/>
      <c r="C25" s="92"/>
      <c r="D25" s="89" t="str">
        <f>IF(ISERROR(VLOOKUP(C25,'GRADE OUT 25'!$B:$G,5,0)),"",VLOOKUP(C25,'GRADE OUT 25'!$B:$G,5,0))</f>
        <v/>
      </c>
      <c r="E25" s="102" t="str">
        <f>IF(ISERROR(VLOOKUP(C25,'GRADE OUT 25'!$B:$G,2,0)),"",VLOOKUP(C25,'GRADE OUT 25'!$B:$G,2,0))</f>
        <v/>
      </c>
      <c r="F25" s="90" t="str">
        <f>IF(ISERROR(VLOOKUP(C25,'GRADE OUT 25'!$B:$G,3,0)),"",VLOOKUP(C25,'GRADE OUT 25'!$B:$G,3,0))</f>
        <v/>
      </c>
      <c r="G25" s="96"/>
      <c r="H25" s="93"/>
      <c r="I25" s="97"/>
      <c r="J25" s="98"/>
      <c r="K25" s="4"/>
      <c r="L25" s="105">
        <f>IF(C25="ROT",VLOOKUP(I25,'GRADE OUT 25'!$C$46:$D$62,2,0),(IF(H25="MERCHANDISING",SUMIFS('GRADE OUT 25'!$AD$4:$AD$33,'GRADE OUT 25'!$Y$4:$Y$33,C25,'GRADE OUT 25'!$AE$4:$AE$33,I25),(IF(H25="INSERT",SUMIFS('GRADE OUT 25'!$AF$36:$AF$41,'GRADE OUT 25'!$Y$36:$Y$41,C25,'GRADE OUT 25'!$AE$36:$AE$41,I25),S25*T25)))))</f>
        <v>0</v>
      </c>
      <c r="M25" s="106">
        <f t="shared" si="10"/>
        <v>0</v>
      </c>
      <c r="N25" s="100"/>
      <c r="O25" s="109">
        <f t="shared" si="11"/>
        <v>0</v>
      </c>
      <c r="P25" s="110">
        <f t="shared" si="12"/>
        <v>0</v>
      </c>
      <c r="Q25" s="4"/>
      <c r="R25" s="114" t="str">
        <f>IF(ISERROR(VLOOKUP(C25,'GRADE OUT 25'!$B:$G,5,0)),"",VLOOKUP(C25,'GRADE OUT 25'!$B:$G,5,0))</f>
        <v/>
      </c>
      <c r="S25" s="115">
        <f>IF(ISERROR(VLOOKUP(C25,'GRADE OUT 25'!$B:$H,7,0)),0,VLOOKUP(C25,'GRADE OUT 25'!$B:$H,7,0))</f>
        <v>0</v>
      </c>
      <c r="T25" s="116" t="str">
        <f>IF(H25="INSERT",0.8,IF(ISERROR(IF(I25=180,6,IF(I25=150,5,IF(I25=120,4,IF(I25=90,3,IF(I25=60,2,IF(I25=45,1.5,IF(I25=30,1,IF(I25=10,0.4,IF(I25=7.5,0.4,IF(I25=7,0.4,IF(I25=5,0.375,IF(I25=15,VLOOKUP(C25,'GRADE OUT 25'!$B:$L,11,0),"0"))))))))))))),0,IF(I25=180,6,IF(I25=150,5,IF(I25=120,4,IF(I25=90,3,IF(I25=60,2,IF(I25=45,1.5,IF(I25=30,1,IF(I25=10,0.4,IF(I25=7.5,0.4,IF(I25=7,0.4,IF(I25=5,0.375,IF(I25=15,VLOOKUP(C25,'GRADE OUT 25'!$B:$L,11,0),"0"))))))))))))))</f>
        <v>0</v>
      </c>
      <c r="U25" s="4"/>
    </row>
    <row r="26" spans="2:22" ht="9.75" hidden="1" customHeight="1" x14ac:dyDescent="0.25"/>
    <row r="27" spans="2:22" ht="18" hidden="1" customHeight="1" x14ac:dyDescent="0.25"/>
    <row r="28" spans="2:22" ht="51" customHeight="1" x14ac:dyDescent="0.25">
      <c r="B28" s="190" t="s">
        <v>23</v>
      </c>
      <c r="C28" s="191"/>
      <c r="D28" s="191"/>
      <c r="E28" s="191"/>
      <c r="F28" s="191"/>
      <c r="G28" s="191"/>
      <c r="H28" s="191"/>
      <c r="I28" s="129"/>
      <c r="J28" s="130">
        <f>SUM(J14:J25)</f>
        <v>48.66</v>
      </c>
      <c r="K28" s="5"/>
      <c r="L28" s="131"/>
      <c r="M28" s="132">
        <f>SUM(M14:M25)</f>
        <v>207178.84125</v>
      </c>
      <c r="N28" s="133"/>
      <c r="O28" s="134"/>
      <c r="P28" s="135">
        <f>SUM(P14:P25)</f>
        <v>207178.84125</v>
      </c>
      <c r="Q28" s="5"/>
      <c r="R28" s="136"/>
      <c r="S28" s="137"/>
      <c r="T28" s="138"/>
      <c r="U28" s="5"/>
      <c r="V28" s="139">
        <f>SUM(V17:V17)</f>
        <v>15899.760000000002</v>
      </c>
    </row>
    <row r="29" spans="2:22" ht="19.5" customHeight="1" x14ac:dyDescent="0.25">
      <c r="B29" s="1"/>
      <c r="C29" s="1"/>
      <c r="D29" s="1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9.5" customHeight="1" x14ac:dyDescent="0.25">
      <c r="B30" s="9" t="s">
        <v>21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9.5" customHeight="1" x14ac:dyDescent="0.25">
      <c r="B31" s="9" t="s">
        <v>26</v>
      </c>
      <c r="C31" s="9"/>
      <c r="D31" s="9"/>
      <c r="E31" s="7"/>
      <c r="F31" s="7"/>
      <c r="G31" s="7"/>
      <c r="H31" s="7"/>
      <c r="I31" s="7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4" spans="2:21" ht="45" customHeight="1" x14ac:dyDescent="0.25">
      <c r="C34" s="186" t="s">
        <v>178</v>
      </c>
      <c r="D34" s="187"/>
      <c r="E34" s="187"/>
      <c r="F34" s="187"/>
      <c r="G34" s="187"/>
      <c r="H34" s="187"/>
      <c r="I34" s="187"/>
      <c r="J34" s="188"/>
      <c r="K34" s="2"/>
      <c r="L34" s="189" t="s">
        <v>0</v>
      </c>
      <c r="M34" s="189"/>
      <c r="N34" s="189"/>
      <c r="O34" s="189"/>
      <c r="P34" s="189"/>
      <c r="Q34" s="2"/>
      <c r="U34" s="2"/>
    </row>
    <row r="35" spans="2:21" ht="27" customHeight="1" x14ac:dyDescent="0.25">
      <c r="C35" s="179" t="s">
        <v>33</v>
      </c>
      <c r="D35" s="179" t="s">
        <v>1</v>
      </c>
      <c r="E35" s="179" t="s">
        <v>2</v>
      </c>
      <c r="F35" s="179"/>
      <c r="G35" s="179" t="s">
        <v>20</v>
      </c>
      <c r="H35" s="179" t="s">
        <v>22</v>
      </c>
      <c r="I35" s="179" t="s">
        <v>19</v>
      </c>
      <c r="J35" s="179" t="s">
        <v>3</v>
      </c>
      <c r="K35" s="3"/>
      <c r="L35" s="197" t="s">
        <v>11</v>
      </c>
      <c r="M35" s="198"/>
      <c r="N35" s="198"/>
      <c r="O35" s="198"/>
      <c r="P35" s="199"/>
      <c r="Q35" s="3"/>
      <c r="U35" s="3"/>
    </row>
    <row r="36" spans="2:21" ht="27" customHeight="1" x14ac:dyDescent="0.25">
      <c r="C36" s="179"/>
      <c r="D36" s="179"/>
      <c r="E36" s="179"/>
      <c r="F36" s="179"/>
      <c r="G36" s="179"/>
      <c r="H36" s="179"/>
      <c r="I36" s="179"/>
      <c r="J36" s="179"/>
      <c r="K36" s="3"/>
      <c r="L36" s="200"/>
      <c r="M36" s="201"/>
      <c r="N36" s="201"/>
      <c r="O36" s="201"/>
      <c r="P36" s="202"/>
      <c r="Q36" s="3"/>
      <c r="U36" s="3"/>
    </row>
    <row r="37" spans="2:21" ht="33.75" customHeight="1" x14ac:dyDescent="0.25">
      <c r="C37" s="179"/>
      <c r="D37" s="179"/>
      <c r="E37" s="122" t="s">
        <v>5</v>
      </c>
      <c r="F37" s="122" t="s">
        <v>6</v>
      </c>
      <c r="G37" s="179"/>
      <c r="H37" s="179"/>
      <c r="I37" s="179"/>
      <c r="J37" s="179"/>
      <c r="K37" s="3"/>
      <c r="L37" s="203" t="s">
        <v>8</v>
      </c>
      <c r="M37" s="204"/>
      <c r="N37" s="203" t="s">
        <v>9</v>
      </c>
      <c r="O37" s="205"/>
      <c r="P37" s="204"/>
      <c r="Q37" s="3"/>
      <c r="U37" s="3"/>
    </row>
    <row r="38" spans="2:21" ht="15.75" customHeight="1" x14ac:dyDescent="0.25">
      <c r="L38" s="146"/>
      <c r="M38" s="145"/>
      <c r="N38" s="147"/>
      <c r="O38" s="148"/>
      <c r="P38" s="149"/>
    </row>
    <row r="39" spans="2:21" ht="29.25" customHeight="1" x14ac:dyDescent="0.25">
      <c r="B39" s="128" t="s">
        <v>178</v>
      </c>
      <c r="C39" s="92" t="s">
        <v>56</v>
      </c>
      <c r="D39" s="89" t="str">
        <f>IF(ISERROR(VLOOKUP(C39,'GRADE OUT 25'!$B:$G,5,0)),"",VLOOKUP(C39,'GRADE OUT 25'!$B:$G,5,0))</f>
        <v>BALANÇO GERAL GO</v>
      </c>
      <c r="E39" s="101" t="str">
        <f>IF(ISERROR(VLOOKUP(C39,'GRADE OUT 25'!$B:$G,2,0)),"",VLOOKUP(C39,'GRADE OUT 25'!$B:$G,2,0))</f>
        <v>SEG/SEX</v>
      </c>
      <c r="F39" s="88" t="str">
        <f>IF(ISERROR(VLOOKUP(C39,'GRADE OUT 25'!$B:$G,3,0)),"",VLOOKUP(C39,'GRADE OUT 25'!$B:$G,3,0))</f>
        <v>11H30</v>
      </c>
      <c r="G39" s="93" t="s">
        <v>176</v>
      </c>
      <c r="H39" s="93" t="s">
        <v>177</v>
      </c>
      <c r="I39" s="94">
        <v>60</v>
      </c>
      <c r="J39" s="144">
        <v>4.33</v>
      </c>
      <c r="K39" s="4"/>
      <c r="L39" s="194">
        <f>O17*0.05</f>
        <v>918</v>
      </c>
      <c r="M39" s="195"/>
      <c r="N39" s="194">
        <f>J39*L39</f>
        <v>3974.94</v>
      </c>
      <c r="O39" s="196"/>
      <c r="P39" s="195"/>
      <c r="Q39" s="4"/>
      <c r="U39" s="4"/>
    </row>
    <row r="41" spans="2:21" ht="51" customHeight="1" x14ac:dyDescent="0.25">
      <c r="B41" s="190" t="s">
        <v>179</v>
      </c>
      <c r="C41" s="191"/>
      <c r="D41" s="191"/>
      <c r="E41" s="191"/>
      <c r="F41" s="191"/>
      <c r="G41" s="191"/>
      <c r="H41" s="191"/>
      <c r="I41" s="129"/>
      <c r="J41" s="150">
        <f>SUM(J39:J39)</f>
        <v>4.33</v>
      </c>
      <c r="K41" s="5"/>
      <c r="L41" s="131"/>
      <c r="M41" s="132"/>
      <c r="N41" s="133"/>
      <c r="O41" s="134"/>
      <c r="P41" s="135">
        <f>SUM(M39:P39)</f>
        <v>3974.94</v>
      </c>
      <c r="Q41" s="5"/>
      <c r="R41" s="135">
        <f>P41+'MTP GO'!L5</f>
        <v>23974.94</v>
      </c>
    </row>
    <row r="43" spans="2:21" ht="51" customHeight="1" x14ac:dyDescent="0.25">
      <c r="B43" s="190" t="s">
        <v>180</v>
      </c>
      <c r="C43" s="191"/>
      <c r="D43" s="191"/>
      <c r="E43" s="191"/>
      <c r="F43" s="191"/>
      <c r="G43" s="191"/>
      <c r="H43" s="191"/>
      <c r="I43" s="129"/>
      <c r="J43" s="130"/>
      <c r="K43" s="5"/>
      <c r="L43" s="131"/>
      <c r="M43" s="132"/>
      <c r="N43" s="133"/>
      <c r="O43" s="134"/>
      <c r="P43" s="135">
        <f>P28+P41+V28</f>
        <v>227053.54125000001</v>
      </c>
      <c r="Q43" s="5"/>
    </row>
  </sheetData>
  <mergeCells count="35">
    <mergeCell ref="B41:H41"/>
    <mergeCell ref="B43:H43"/>
    <mergeCell ref="L39:M39"/>
    <mergeCell ref="N39:P39"/>
    <mergeCell ref="C34:J34"/>
    <mergeCell ref="L34:P34"/>
    <mergeCell ref="C35:C37"/>
    <mergeCell ref="D35:D37"/>
    <mergeCell ref="E35:F36"/>
    <mergeCell ref="G35:G37"/>
    <mergeCell ref="H35:H37"/>
    <mergeCell ref="I35:I37"/>
    <mergeCell ref="J35:J37"/>
    <mergeCell ref="L35:P36"/>
    <mergeCell ref="L37:M37"/>
    <mergeCell ref="N37:P37"/>
    <mergeCell ref="B19:B21"/>
    <mergeCell ref="B23:B25"/>
    <mergeCell ref="B28:H28"/>
    <mergeCell ref="L11:M12"/>
    <mergeCell ref="N11:N13"/>
    <mergeCell ref="O11:P12"/>
    <mergeCell ref="R11:T12"/>
    <mergeCell ref="V11:V12"/>
    <mergeCell ref="B14:B15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47A88A-BBDF-4B17-ACA7-BA10FC024653}">
          <x14:formula1>
            <xm:f>LISTA!$A$1:$A$4</xm:f>
          </x14:formula1>
          <xm:sqref>H14:H15 H17 H19:H21 H23:H25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1E3B-0F4C-4068-BC7B-4FCF133E4226}">
  <dimension ref="A1:O5"/>
  <sheetViews>
    <sheetView topLeftCell="E1" workbookViewId="0">
      <selection activeCell="B8" sqref="B8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206" t="s">
        <v>163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</row>
    <row r="2" spans="1:15" ht="26.25" thickBot="1" x14ac:dyDescent="0.3">
      <c r="A2" s="151" t="s">
        <v>181</v>
      </c>
      <c r="B2" s="152" t="s">
        <v>182</v>
      </c>
      <c r="C2" s="153" t="s">
        <v>183</v>
      </c>
      <c r="D2" s="152" t="s">
        <v>184</v>
      </c>
      <c r="E2" s="209" t="s">
        <v>185</v>
      </c>
      <c r="F2" s="209"/>
      <c r="G2" s="154" t="s">
        <v>186</v>
      </c>
      <c r="H2" s="154" t="s">
        <v>187</v>
      </c>
      <c r="I2" s="154" t="s">
        <v>188</v>
      </c>
      <c r="J2" s="210" t="s">
        <v>189</v>
      </c>
      <c r="K2" s="211"/>
      <c r="L2" s="155" t="s">
        <v>190</v>
      </c>
      <c r="M2" s="156" t="s">
        <v>191</v>
      </c>
      <c r="N2" s="157" t="s">
        <v>192</v>
      </c>
      <c r="O2" s="158" t="s">
        <v>193</v>
      </c>
    </row>
    <row r="3" spans="1:15" ht="63.75" x14ac:dyDescent="0.25">
      <c r="A3" s="159" t="s">
        <v>194</v>
      </c>
      <c r="B3" s="160" t="s">
        <v>195</v>
      </c>
      <c r="C3" s="160" t="s">
        <v>195</v>
      </c>
      <c r="D3" s="161" t="s">
        <v>196</v>
      </c>
      <c r="E3" s="160">
        <v>1</v>
      </c>
      <c r="F3" s="160" t="s">
        <v>197</v>
      </c>
      <c r="G3" s="160" t="s">
        <v>198</v>
      </c>
      <c r="H3" s="162">
        <f>35000*E3</f>
        <v>35000</v>
      </c>
      <c r="I3" s="163" t="s">
        <v>199</v>
      </c>
      <c r="J3" s="164">
        <v>14000</v>
      </c>
      <c r="K3" s="160" t="s">
        <v>197</v>
      </c>
      <c r="L3" s="164">
        <f t="shared" ref="L3" si="0">J3*E3</f>
        <v>14000</v>
      </c>
      <c r="M3" s="165">
        <v>0</v>
      </c>
      <c r="N3" s="164">
        <f>J3-(J3*M3)</f>
        <v>14000</v>
      </c>
      <c r="O3" s="166">
        <f>L3-(L3*M3)</f>
        <v>14000</v>
      </c>
    </row>
    <row r="4" spans="1:15" ht="63.75" x14ac:dyDescent="0.25">
      <c r="A4" s="161" t="s">
        <v>200</v>
      </c>
      <c r="B4" s="160" t="s">
        <v>201</v>
      </c>
      <c r="C4" s="167" t="s">
        <v>202</v>
      </c>
      <c r="D4" s="168" t="s">
        <v>203</v>
      </c>
      <c r="E4" s="167">
        <v>1</v>
      </c>
      <c r="F4" s="167" t="s">
        <v>204</v>
      </c>
      <c r="G4" s="167" t="s">
        <v>198</v>
      </c>
      <c r="H4" s="169">
        <v>30000</v>
      </c>
      <c r="I4" s="167" t="s">
        <v>205</v>
      </c>
      <c r="J4" s="170">
        <v>200</v>
      </c>
      <c r="K4" s="167" t="s">
        <v>205</v>
      </c>
      <c r="L4" s="170">
        <f>J4*H4/1000</f>
        <v>6000</v>
      </c>
      <c r="M4" s="165">
        <v>0</v>
      </c>
      <c r="N4" s="170">
        <f t="shared" ref="N4" si="1">J4-(J4*M4)</f>
        <v>200</v>
      </c>
      <c r="O4" s="171">
        <f t="shared" ref="O4" si="2">L4-(L4*M4)</f>
        <v>6000</v>
      </c>
    </row>
    <row r="5" spans="1:15" ht="21" x14ac:dyDescent="0.25">
      <c r="A5" s="212" t="s">
        <v>9</v>
      </c>
      <c r="B5" s="213"/>
      <c r="C5" s="213"/>
      <c r="D5" s="213"/>
      <c r="E5" s="213"/>
      <c r="F5" s="213"/>
      <c r="G5" s="213"/>
      <c r="H5" s="213"/>
      <c r="I5" s="213"/>
      <c r="J5" s="213"/>
      <c r="K5" s="214"/>
      <c r="L5" s="172">
        <f>SUM(L3:L4)</f>
        <v>20000</v>
      </c>
      <c r="M5" s="165">
        <v>0</v>
      </c>
      <c r="N5" s="149"/>
      <c r="O5" s="173">
        <f>SUM(O3:O4)</f>
        <v>20000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2025-10-29T14:14:56Z</dcterms:modified>
</cp:coreProperties>
</file>